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"/>
    </mc:Choice>
  </mc:AlternateContent>
  <bookViews>
    <workbookView xWindow="0" yWindow="0" windowWidth="17970" windowHeight="10965"/>
  </bookViews>
  <sheets>
    <sheet name="Расчет стоимости" sheetId="3" r:id="rId1"/>
    <sheet name="НМЦ лота &quot;под ключ&quot;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3" l="1"/>
  <c r="F23" i="3"/>
  <c r="C40" i="3" l="1"/>
  <c r="F33" i="3"/>
  <c r="J33" i="3" s="1"/>
  <c r="N33" i="3" s="1"/>
  <c r="N40" i="3" s="1"/>
  <c r="E25" i="3"/>
  <c r="D25" i="3"/>
  <c r="F24" i="3"/>
  <c r="J24" i="3" s="1"/>
  <c r="N24" i="3" s="1"/>
  <c r="J23" i="3"/>
  <c r="N23" i="3" s="1"/>
  <c r="O23" i="3" s="1"/>
  <c r="F21" i="3"/>
  <c r="G20" i="3"/>
  <c r="E20" i="3"/>
  <c r="E21" i="3" s="1"/>
  <c r="D20" i="3"/>
  <c r="H20" i="3" s="1"/>
  <c r="M25" i="3"/>
  <c r="L25" i="3"/>
  <c r="I25" i="3"/>
  <c r="H25" i="3"/>
  <c r="N21" i="3"/>
  <c r="J21" i="3"/>
  <c r="I19" i="5"/>
  <c r="F19" i="5"/>
  <c r="G19" i="5"/>
  <c r="H19" i="5"/>
  <c r="E19" i="5"/>
  <c r="L21" i="3" l="1"/>
  <c r="L26" i="3" s="1"/>
  <c r="L31" i="3" s="1"/>
  <c r="L35" i="3" s="1"/>
  <c r="L37" i="3" s="1"/>
  <c r="L20" i="3"/>
  <c r="E26" i="3"/>
  <c r="E31" i="3" s="1"/>
  <c r="E35" i="3" s="1"/>
  <c r="E37" i="3" s="1"/>
  <c r="E38" i="3" s="1"/>
  <c r="E43" i="3" s="1"/>
  <c r="E44" i="3" s="1"/>
  <c r="I20" i="3"/>
  <c r="I14" i="5"/>
  <c r="I18" i="5" s="1"/>
  <c r="I20" i="5" s="1"/>
  <c r="I21" i="5" s="1"/>
  <c r="D21" i="3"/>
  <c r="G24" i="3"/>
  <c r="G33" i="3"/>
  <c r="F26" i="3"/>
  <c r="F34" i="3"/>
  <c r="G34" i="3" s="1"/>
  <c r="F25" i="3"/>
  <c r="G25" i="3" s="1"/>
  <c r="K24" i="3"/>
  <c r="H14" i="5" s="1"/>
  <c r="H18" i="5" s="1"/>
  <c r="H20" i="5" s="1"/>
  <c r="H21" i="5" s="1"/>
  <c r="G21" i="3"/>
  <c r="D26" i="3"/>
  <c r="D31" i="3" s="1"/>
  <c r="G23" i="3"/>
  <c r="L38" i="3"/>
  <c r="L41" i="3" s="1"/>
  <c r="L39" i="3" s="1"/>
  <c r="O33" i="3"/>
  <c r="O24" i="3"/>
  <c r="N25" i="3"/>
  <c r="N26" i="3" s="1"/>
  <c r="H21" i="3"/>
  <c r="H26" i="3" s="1"/>
  <c r="H31" i="3" s="1"/>
  <c r="H35" i="3" s="1"/>
  <c r="M21" i="3" l="1"/>
  <c r="M20" i="3"/>
  <c r="O20" i="3" s="1"/>
  <c r="G26" i="3"/>
  <c r="N34" i="3"/>
  <c r="O34" i="3" s="1"/>
  <c r="D35" i="3"/>
  <c r="H37" i="3"/>
  <c r="H38" i="3" s="1"/>
  <c r="K33" i="3"/>
  <c r="J34" i="3"/>
  <c r="K34" i="3" s="1"/>
  <c r="O25" i="3"/>
  <c r="K23" i="3"/>
  <c r="J25" i="3"/>
  <c r="G14" i="5"/>
  <c r="G18" i="5" s="1"/>
  <c r="G20" i="5" s="1"/>
  <c r="G21" i="5" s="1"/>
  <c r="I21" i="3"/>
  <c r="F14" i="5"/>
  <c r="F18" i="5" s="1"/>
  <c r="F20" i="5" s="1"/>
  <c r="F21" i="5" s="1"/>
  <c r="E14" i="5"/>
  <c r="K20" i="3"/>
  <c r="G29" i="3" l="1"/>
  <c r="F28" i="3"/>
  <c r="F29" i="3"/>
  <c r="F30" i="3" s="1"/>
  <c r="O26" i="3"/>
  <c r="M26" i="3"/>
  <c r="M31" i="3" s="1"/>
  <c r="M35" i="3" s="1"/>
  <c r="M37" i="3" s="1"/>
  <c r="M38" i="3" s="1"/>
  <c r="O21" i="3"/>
  <c r="H43" i="3"/>
  <c r="O40" i="3"/>
  <c r="L43" i="3"/>
  <c r="L44" i="3" s="1"/>
  <c r="G28" i="3"/>
  <c r="D37" i="3"/>
  <c r="D38" i="3" s="1"/>
  <c r="D43" i="3" s="1"/>
  <c r="K21" i="3"/>
  <c r="I26" i="3"/>
  <c r="I31" i="3" s="1"/>
  <c r="I35" i="3" s="1"/>
  <c r="K25" i="3"/>
  <c r="J26" i="3"/>
  <c r="E18" i="5"/>
  <c r="J14" i="5"/>
  <c r="M39" i="3" l="1"/>
  <c r="M41" i="3"/>
  <c r="N28" i="3"/>
  <c r="O28" i="3" s="1"/>
  <c r="N29" i="3"/>
  <c r="O29" i="3" s="1"/>
  <c r="D44" i="3"/>
  <c r="H44" i="3"/>
  <c r="G30" i="3"/>
  <c r="F31" i="3"/>
  <c r="I37" i="3"/>
  <c r="I38" i="3" s="1"/>
  <c r="K26" i="3"/>
  <c r="E20" i="5"/>
  <c r="J18" i="5"/>
  <c r="M43" i="3" l="1"/>
  <c r="M44" i="3" s="1"/>
  <c r="N30" i="3"/>
  <c r="I43" i="3"/>
  <c r="F35" i="3"/>
  <c r="G31" i="3"/>
  <c r="O30" i="3"/>
  <c r="N31" i="3"/>
  <c r="J28" i="3"/>
  <c r="K28" i="3" s="1"/>
  <c r="J29" i="3"/>
  <c r="E21" i="5"/>
  <c r="J21" i="5" s="1"/>
  <c r="J20" i="5"/>
  <c r="I44" i="3" l="1"/>
  <c r="F37" i="3"/>
  <c r="G37" i="3" s="1"/>
  <c r="G35" i="3"/>
  <c r="O31" i="3"/>
  <c r="N35" i="3"/>
  <c r="J30" i="3"/>
  <c r="K30" i="3" s="1"/>
  <c r="K29" i="3"/>
  <c r="J31" i="3" l="1"/>
  <c r="J35" i="3" s="1"/>
  <c r="F38" i="3"/>
  <c r="O35" i="3"/>
  <c r="N37" i="3"/>
  <c r="G38" i="3" l="1"/>
  <c r="F43" i="3"/>
  <c r="K31" i="3"/>
  <c r="J37" i="3"/>
  <c r="K37" i="3" s="1"/>
  <c r="K35" i="3"/>
  <c r="N38" i="3"/>
  <c r="N41" i="3" s="1"/>
  <c r="O37" i="3"/>
  <c r="O38" i="3" l="1"/>
  <c r="F44" i="3"/>
  <c r="G44" i="3" s="1"/>
  <c r="G43" i="3"/>
  <c r="J38" i="3"/>
  <c r="O41" i="3" l="1"/>
  <c r="N39" i="3"/>
  <c r="K38" i="3"/>
  <c r="J43" i="3"/>
  <c r="K43" i="3" s="1"/>
  <c r="N44" i="3" l="1"/>
  <c r="J44" i="3"/>
  <c r="K44" i="3" s="1"/>
  <c r="N43" i="3"/>
  <c r="O39" i="3"/>
  <c r="O44" i="3" l="1"/>
  <c r="O43" i="3"/>
</calcChain>
</file>

<file path=xl/sharedStrings.xml><?xml version="1.0" encoding="utf-8"?>
<sst xmlns="http://schemas.openxmlformats.org/spreadsheetml/2006/main" count="97" uniqueCount="76">
  <si>
    <t>Наименование</t>
  </si>
  <si>
    <t>|</t>
  </si>
  <si>
    <t>_000-56-0-00.00-0000</t>
  </si>
  <si>
    <t>ДЗО</t>
  </si>
  <si>
    <t>ПАО "МРСК Северо-Запада"</t>
  </si>
  <si>
    <t/>
  </si>
  <si>
    <t>№ пп</t>
  </si>
  <si>
    <t>Составил:</t>
  </si>
  <si>
    <t>Проверил:</t>
  </si>
  <si>
    <t>Пирковская Е.Г.</t>
  </si>
  <si>
    <t>"УТВЕРЖДАЮ"</t>
  </si>
  <si>
    <t>Заместитель директора по инвестиционной деятельности филиала</t>
  </si>
  <si>
    <t>НДС</t>
  </si>
  <si>
    <t>№ ИП</t>
  </si>
  <si>
    <t>(наименование стройки)</t>
  </si>
  <si>
    <t>Итого с НДС</t>
  </si>
  <si>
    <t>СМР</t>
  </si>
  <si>
    <t>ПНР</t>
  </si>
  <si>
    <t>ПИР</t>
  </si>
  <si>
    <t>Прочие</t>
  </si>
  <si>
    <t>(наименование дочерней или зависимой организации)</t>
  </si>
  <si>
    <t>Согласован для включения в инвестиционную программу</t>
  </si>
  <si>
    <t>'___''____________ 20___ г.</t>
  </si>
  <si>
    <t>Ориентировочный сметный расчет в сумме  тыс. руб. (с НДС) в прогнозных ценах 2 020 года</t>
  </si>
  <si>
    <t>ОРИЕНТИРОВОЧНЫЙ СМЕТНЫЙ РАСЧЕТ СТОИМОСТИ СТРОИТЕЛЬСТВА</t>
  </si>
  <si>
    <t>тыс. руб.</t>
  </si>
  <si>
    <t>№   пп</t>
  </si>
  <si>
    <t>Обоснование</t>
  </si>
  <si>
    <t>Наименование глав, объектов, работ и затрат</t>
  </si>
  <si>
    <t>Общая сметная стоимость</t>
  </si>
  <si>
    <t>строительно- монтажных работ</t>
  </si>
  <si>
    <t>оборудования, мебели, инвентаря</t>
  </si>
  <si>
    <t>прочих затрат</t>
  </si>
  <si>
    <t>Глава 9. Прочие работы и затраты</t>
  </si>
  <si>
    <t>Глава 10. Содержание службы технического заказчика. Строительный контроль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</si>
  <si>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</si>
  <si>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</si>
  <si>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</si>
  <si>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</si>
  <si>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</si>
  <si>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</si>
  <si>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Налоги и обязательные платежи</t>
  </si>
  <si>
    <t>В.Ю.Размыслов</t>
  </si>
  <si>
    <t>Согласовано:</t>
  </si>
  <si>
    <t>Расчет начальной максимальной цены лота на выполнение работ по объекту:</t>
  </si>
  <si>
    <t>Оборудова ние</t>
  </si>
  <si>
    <t>ИТОГО, тыс. руб.</t>
  </si>
  <si>
    <t>Стоимость строительства в базисных ценах на 01.01.2000 г. (за исключением затрат Заказчика)</t>
  </si>
  <si>
    <t>ВСЕГО с НДС20 %</t>
  </si>
  <si>
    <t>Индексы изменения сметной стоимости на 4 кв. 2017 г
Письмо Министерства строительства и ЖКХ РФ № 45082-ХМ/09 от 05.12.2017</t>
  </si>
  <si>
    <t>ПИР
Рабочая документация</t>
  </si>
  <si>
    <t>Стоимость строительства в ценах 4 кв. 2017 г (за исключением затрат Заказчика)</t>
  </si>
  <si>
    <t>Плановая (предварительная) стоимость объекта в прогнозных ценах года окончания строительства в 2020  году</t>
  </si>
  <si>
    <t>на основании ТКП ООО "Лифтовые технологии" от 02.10.2018 №294/09-18 (предложение №3328273-4) с учетом действующей методики с окончанием реализации в 2020 году.</t>
  </si>
  <si>
    <t>Глава 2. Основные объекты строительства</t>
  </si>
  <si>
    <t xml:space="preserve"> ТКП ООО "Лифтовые технологии" от 02.10.2018 №294/09-18 (предложение №3328273-4)</t>
  </si>
  <si>
    <t>Монтаж борудования лифта</t>
  </si>
  <si>
    <t>Сметная стоимость в ценах 4 квартала 2018 года</t>
  </si>
  <si>
    <t>Сметная стоимость в базовых ценах 2000 года</t>
  </si>
  <si>
    <t>Итого по главе 2</t>
  </si>
  <si>
    <t>Пусконаладочные работы</t>
  </si>
  <si>
    <t>Техническое освидетельствование</t>
  </si>
  <si>
    <t>Итого по главе 9</t>
  </si>
  <si>
    <t>Итого по главам 1-9</t>
  </si>
  <si>
    <t>Содержание службы технического заказчика</t>
  </si>
  <si>
    <t>Строительный контроль</t>
  </si>
  <si>
    <t>Итого по главам 1-10</t>
  </si>
  <si>
    <t>Разработка рабочей документации</t>
  </si>
  <si>
    <t xml:space="preserve">Непредвиденные работы и затраты  - 3% </t>
  </si>
  <si>
    <t xml:space="preserve">Итого с "Непредвиденными затратами" </t>
  </si>
  <si>
    <t>Сметная стоимость в ценах 4 квартала 2017 года</t>
  </si>
  <si>
    <t>Индексы-дефляторы Минэкономразвития по строке ''Капвложения'' от 2017 до года ввода объекта в эксплуатацию в 2 020 г.</t>
  </si>
  <si>
    <t>СМР, ПНР и прочие</t>
  </si>
  <si>
    <t>Составлен в прогнозных ценах года окончания строительства:  2020</t>
  </si>
  <si>
    <t xml:space="preserve">«Техническое перевооружение лифтового оборудования, установленного в административном здании по адресу: г. Сыктывкар, ул. Интернациональная, д. 94 (1 шт.)», </t>
  </si>
  <si>
    <t>J_000-56-1-06.70-0005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</si>
</sst>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36"/>
      <color rgb="FFFFFFFF"/>
      <name val="Arial"/>
      <family val="2"/>
    </font>
    <font>
      <sz val="11"/>
      <color rgb="FF000000"/>
      <name val="Times New Roman"/>
      <family val="2"/>
    </font>
    <font>
      <b/>
      <sz val="11"/>
      <color rgb="FF000000"/>
      <name val="Times New Roman"/>
      <family val="2"/>
    </font>
    <font>
      <i/>
      <sz val="9"/>
      <color rgb="FF000000"/>
      <name val="Times New Roman"/>
      <family val="2"/>
    </font>
    <font>
      <sz val="10"/>
      <color rgb="FF000000"/>
      <name val="Times New Roman"/>
      <family val="2"/>
    </font>
    <font>
      <b/>
      <sz val="10"/>
      <color rgb="FF000000"/>
      <name val="Times New Roman"/>
      <family val="2"/>
    </font>
    <font>
      <sz val="9"/>
      <color rgb="FF000000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Times New Roman"/>
      <family val="2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5" fillId="0" borderId="1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vertical="center" wrapText="1"/>
    </xf>
    <xf numFmtId="165" fontId="3" fillId="0" borderId="2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1" fontId="7" fillId="0" borderId="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1" fontId="7" fillId="0" borderId="16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164" fontId="5" fillId="0" borderId="21" xfId="0" applyNumberFormat="1" applyFont="1" applyBorder="1" applyAlignment="1">
      <alignment horizontal="right" vertical="center"/>
    </xf>
    <xf numFmtId="164" fontId="5" fillId="0" borderId="23" xfId="0" applyNumberFormat="1" applyFont="1" applyBorder="1" applyAlignment="1">
      <alignment horizontal="right" vertical="center"/>
    </xf>
    <xf numFmtId="164" fontId="6" fillId="0" borderId="21" xfId="0" applyNumberFormat="1" applyFont="1" applyBorder="1" applyAlignment="1">
      <alignment horizontal="right" vertical="center"/>
    </xf>
    <xf numFmtId="164" fontId="6" fillId="0" borderId="23" xfId="0" applyNumberFormat="1" applyFont="1" applyBorder="1" applyAlignment="1">
      <alignment horizontal="right" vertical="center"/>
    </xf>
    <xf numFmtId="164" fontId="9" fillId="0" borderId="23" xfId="0" applyNumberFormat="1" applyFont="1" applyBorder="1" applyAlignment="1">
      <alignment horizontal="right" vertical="center"/>
    </xf>
    <xf numFmtId="164" fontId="9" fillId="0" borderId="32" xfId="0" applyNumberFormat="1" applyFont="1" applyBorder="1" applyAlignment="1">
      <alignment horizontal="right" vertical="center"/>
    </xf>
    <xf numFmtId="164" fontId="9" fillId="0" borderId="33" xfId="0" applyNumberFormat="1" applyFont="1" applyBorder="1" applyAlignment="1">
      <alignment horizontal="right" vertical="center"/>
    </xf>
    <xf numFmtId="164" fontId="9" fillId="0" borderId="34" xfId="0" applyNumberFormat="1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 wrapText="1"/>
    </xf>
    <xf numFmtId="1" fontId="7" fillId="0" borderId="28" xfId="0" applyNumberFormat="1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0" fontId="0" fillId="0" borderId="3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37" xfId="0" applyBorder="1" applyAlignment="1">
      <alignment horizontal="left"/>
    </xf>
    <xf numFmtId="164" fontId="5" fillId="0" borderId="29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/>
    </xf>
    <xf numFmtId="164" fontId="0" fillId="0" borderId="36" xfId="0" applyNumberFormat="1" applyBorder="1" applyAlignment="1">
      <alignment horizontal="left"/>
    </xf>
    <xf numFmtId="164" fontId="0" fillId="0" borderId="0" xfId="0" applyNumberFormat="1" applyBorder="1" applyAlignment="1">
      <alignment horizontal="left"/>
    </xf>
    <xf numFmtId="164" fontId="0" fillId="0" borderId="37" xfId="0" applyNumberFormat="1" applyBorder="1" applyAlignment="1">
      <alignment horizontal="left"/>
    </xf>
    <xf numFmtId="164" fontId="0" fillId="0" borderId="28" xfId="0" applyNumberFormat="1" applyBorder="1" applyAlignment="1">
      <alignment horizontal="left"/>
    </xf>
    <xf numFmtId="164" fontId="0" fillId="0" borderId="16" xfId="0" applyNumberFormat="1" applyBorder="1" applyAlignment="1">
      <alignment horizontal="left"/>
    </xf>
    <xf numFmtId="164" fontId="6" fillId="0" borderId="30" xfId="0" applyNumberFormat="1" applyFont="1" applyBorder="1" applyAlignment="1">
      <alignment horizontal="right" vertical="center"/>
    </xf>
    <xf numFmtId="164" fontId="6" fillId="0" borderId="3" xfId="0" applyNumberFormat="1" applyFont="1" applyBorder="1" applyAlignment="1">
      <alignment horizontal="right" vertical="center"/>
    </xf>
    <xf numFmtId="164" fontId="6" fillId="0" borderId="31" xfId="0" applyNumberFormat="1" applyFont="1" applyBorder="1" applyAlignment="1">
      <alignment horizontal="right" vertical="center"/>
    </xf>
    <xf numFmtId="164" fontId="5" fillId="0" borderId="21" xfId="0" applyNumberFormat="1" applyFont="1" applyBorder="1" applyAlignment="1">
      <alignment horizontal="left" vertical="center"/>
    </xf>
    <xf numFmtId="164" fontId="6" fillId="0" borderId="21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23" xfId="0" applyNumberFormat="1" applyFont="1" applyBorder="1" applyAlignment="1">
      <alignment horizontal="right" vertical="center"/>
    </xf>
    <xf numFmtId="164" fontId="9" fillId="0" borderId="21" xfId="0" applyNumberFormat="1" applyFont="1" applyBorder="1" applyAlignment="1">
      <alignment horizontal="right" vertical="center"/>
    </xf>
    <xf numFmtId="164" fontId="14" fillId="0" borderId="23" xfId="0" applyNumberFormat="1" applyFont="1" applyBorder="1" applyAlignment="1">
      <alignment horizontal="right" vertical="center"/>
    </xf>
    <xf numFmtId="164" fontId="15" fillId="0" borderId="23" xfId="0" applyNumberFormat="1" applyFont="1" applyBorder="1" applyAlignment="1">
      <alignment horizontal="right" vertical="center"/>
    </xf>
    <xf numFmtId="164" fontId="6" fillId="0" borderId="26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27" xfId="0" applyNumberFormat="1" applyFont="1" applyBorder="1" applyAlignment="1">
      <alignment vertical="center"/>
    </xf>
    <xf numFmtId="164" fontId="5" fillId="0" borderId="28" xfId="0" applyNumberFormat="1" applyFont="1" applyBorder="1" applyAlignment="1">
      <alignment horizontal="left" vertical="center"/>
    </xf>
    <xf numFmtId="164" fontId="5" fillId="0" borderId="16" xfId="0" applyNumberFormat="1" applyFont="1" applyBorder="1" applyAlignment="1">
      <alignment horizontal="left" vertical="center"/>
    </xf>
    <xf numFmtId="164" fontId="6" fillId="0" borderId="24" xfId="0" applyNumberFormat="1" applyFont="1" applyBorder="1" applyAlignment="1">
      <alignment vertical="center"/>
    </xf>
    <xf numFmtId="164" fontId="6" fillId="0" borderId="15" xfId="0" applyNumberFormat="1" applyFont="1" applyBorder="1" applyAlignment="1">
      <alignment vertical="center"/>
    </xf>
    <xf numFmtId="164" fontId="6" fillId="0" borderId="25" xfId="0" applyNumberFormat="1" applyFont="1" applyBorder="1" applyAlignment="1">
      <alignment vertical="center"/>
    </xf>
    <xf numFmtId="164" fontId="15" fillId="0" borderId="2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/>
    </xf>
    <xf numFmtId="164" fontId="14" fillId="0" borderId="21" xfId="0" applyNumberFormat="1" applyFont="1" applyBorder="1" applyAlignment="1">
      <alignment horizontal="right" vertical="center"/>
    </xf>
    <xf numFmtId="164" fontId="14" fillId="0" borderId="1" xfId="0" applyNumberFormat="1" applyFont="1" applyBorder="1" applyAlignment="1">
      <alignment horizontal="right" vertical="center"/>
    </xf>
    <xf numFmtId="164" fontId="6" fillId="0" borderId="23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vertical="center" wrapText="1"/>
    </xf>
    <xf numFmtId="165" fontId="3" fillId="0" borderId="11" xfId="0" applyNumberFormat="1" applyFont="1" applyBorder="1" applyAlignment="1">
      <alignment vertical="center" wrapText="1"/>
    </xf>
    <xf numFmtId="165" fontId="3" fillId="0" borderId="3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vertical="center" wrapText="1"/>
    </xf>
    <xf numFmtId="165" fontId="2" fillId="0" borderId="10" xfId="0" applyNumberFormat="1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workbookViewId="0">
      <selection activeCell="M44" sqref="M44:N44"/>
    </sheetView>
  </sheetViews>
  <sheetFormatPr defaultColWidth="9" defaultRowHeight="15" x14ac:dyDescent="0.25"/>
  <cols>
    <col min="1" max="1" width="4.5703125" style="1" customWidth="1"/>
    <col min="2" max="2" width="21.85546875" style="1" customWidth="1"/>
    <col min="3" max="3" width="48" style="1" customWidth="1"/>
    <col min="4" max="4" width="13.5703125" style="1" customWidth="1"/>
    <col min="5" max="5" width="12.85546875" style="1" customWidth="1"/>
    <col min="6" max="6" width="12.42578125" style="1" customWidth="1"/>
    <col min="7" max="7" width="15.42578125" style="1" customWidth="1"/>
    <col min="8" max="8" width="12.7109375" style="1" customWidth="1"/>
    <col min="9" max="9" width="13" style="1" customWidth="1"/>
    <col min="10" max="10" width="12" style="1" customWidth="1"/>
    <col min="11" max="11" width="13.7109375" style="1" customWidth="1"/>
    <col min="12" max="12" width="13.5703125" customWidth="1"/>
    <col min="13" max="13" width="14.140625" customWidth="1"/>
    <col min="14" max="14" width="11.42578125" customWidth="1"/>
    <col min="15" max="15" width="11.28515625" customWidth="1"/>
  </cols>
  <sheetData>
    <row r="1" spans="1:15" s="1" customFormat="1" ht="12.95" customHeight="1" x14ac:dyDescent="0.25"/>
    <row r="2" spans="1:15" s="1" customFormat="1" ht="12.95" customHeight="1" x14ac:dyDescent="0.25">
      <c r="B2" s="7" t="s">
        <v>3</v>
      </c>
      <c r="C2" s="96" t="s">
        <v>4</v>
      </c>
      <c r="D2" s="96"/>
      <c r="E2" s="96"/>
      <c r="F2" s="96"/>
      <c r="G2" s="96"/>
      <c r="H2" s="96"/>
      <c r="I2" s="96"/>
    </row>
    <row r="3" spans="1:15" s="1" customFormat="1" ht="12.95" customHeight="1" x14ac:dyDescent="0.25">
      <c r="C3" s="104" t="s">
        <v>20</v>
      </c>
      <c r="D3" s="104"/>
      <c r="E3" s="104"/>
      <c r="F3" s="104"/>
      <c r="G3" s="104"/>
      <c r="H3" s="104"/>
      <c r="I3" s="104"/>
    </row>
    <row r="4" spans="1:15" s="1" customFormat="1" ht="12.95" customHeight="1" x14ac:dyDescent="0.25">
      <c r="B4" s="7" t="s">
        <v>21</v>
      </c>
    </row>
    <row r="5" spans="1:15" s="1" customFormat="1" ht="12.95" customHeight="1" x14ac:dyDescent="0.25">
      <c r="C5" s="7" t="s">
        <v>22</v>
      </c>
      <c r="D5" s="22"/>
      <c r="E5" s="22"/>
      <c r="F5" s="22"/>
      <c r="G5" s="22"/>
    </row>
    <row r="6" spans="1:15" s="1" customFormat="1" ht="12.95" customHeight="1" x14ac:dyDescent="0.25">
      <c r="B6" s="96" t="s">
        <v>23</v>
      </c>
      <c r="C6" s="96"/>
      <c r="D6" s="96"/>
      <c r="E6" s="96"/>
      <c r="F6" s="96"/>
      <c r="G6" s="96"/>
      <c r="H6" s="96"/>
      <c r="I6" s="96"/>
      <c r="J6" s="96"/>
      <c r="K6" s="96"/>
    </row>
    <row r="7" spans="1:15" s="1" customFormat="1" ht="12.95" customHeight="1" x14ac:dyDescent="0.25"/>
    <row r="8" spans="1:15" s="1" customFormat="1" ht="12.95" customHeight="1" x14ac:dyDescent="0.25"/>
    <row r="9" spans="1:15" s="1" customFormat="1" ht="12.95" customHeight="1" x14ac:dyDescent="0.25">
      <c r="B9" s="105" t="s">
        <v>24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5" s="1" customFormat="1" ht="12.95" customHeight="1" x14ac:dyDescent="0.25"/>
    <row r="11" spans="1:15" s="1" customFormat="1" ht="12.95" customHeight="1" x14ac:dyDescent="0.25">
      <c r="B11" s="3" t="s">
        <v>13</v>
      </c>
      <c r="C11" s="4" t="s">
        <v>75</v>
      </c>
      <c r="D11" s="21"/>
      <c r="E11" s="21"/>
      <c r="F11" s="21"/>
      <c r="G11" s="21"/>
    </row>
    <row r="12" spans="1:15" s="1" customFormat="1" x14ac:dyDescent="0.25">
      <c r="B12" s="106" t="s">
        <v>74</v>
      </c>
      <c r="C12" s="106"/>
      <c r="D12" s="106"/>
      <c r="E12" s="106"/>
      <c r="F12" s="106"/>
      <c r="G12" s="106"/>
      <c r="H12" s="106"/>
      <c r="I12" s="106"/>
      <c r="J12" s="106"/>
      <c r="K12" s="106"/>
    </row>
    <row r="13" spans="1:15" s="1" customFormat="1" ht="12.95" customHeight="1" x14ac:dyDescent="0.25">
      <c r="B13" s="8"/>
      <c r="C13" s="104" t="s">
        <v>14</v>
      </c>
      <c r="D13" s="104"/>
      <c r="E13" s="104"/>
      <c r="F13" s="104"/>
      <c r="G13" s="104"/>
      <c r="H13" s="104"/>
      <c r="I13" s="104"/>
      <c r="J13" s="104"/>
      <c r="K13" s="104"/>
    </row>
    <row r="14" spans="1:15" s="1" customFormat="1" ht="12.95" customHeight="1" x14ac:dyDescent="0.25">
      <c r="B14" s="96" t="s">
        <v>73</v>
      </c>
      <c r="C14" s="96"/>
      <c r="D14" s="96"/>
      <c r="E14" s="96"/>
      <c r="F14" s="96"/>
      <c r="G14" s="96"/>
      <c r="H14" s="96"/>
      <c r="I14" s="96"/>
      <c r="J14" s="96"/>
      <c r="K14" s="96"/>
    </row>
    <row r="15" spans="1:15" s="1" customFormat="1" ht="12.95" customHeight="1" thickBot="1" x14ac:dyDescent="0.3">
      <c r="A15" s="9"/>
      <c r="B15" s="9"/>
      <c r="C15" s="9"/>
      <c r="D15" s="22"/>
      <c r="E15" s="22"/>
      <c r="F15" s="22"/>
      <c r="G15" s="22"/>
      <c r="H15" s="22"/>
      <c r="I15" s="22"/>
      <c r="J15" s="22"/>
      <c r="K15" s="22" t="s">
        <v>25</v>
      </c>
    </row>
    <row r="16" spans="1:15" s="1" customFormat="1" ht="26.25" customHeight="1" x14ac:dyDescent="0.25">
      <c r="A16" s="97" t="s">
        <v>26</v>
      </c>
      <c r="B16" s="97" t="s">
        <v>27</v>
      </c>
      <c r="C16" s="97" t="s">
        <v>28</v>
      </c>
      <c r="D16" s="99" t="s">
        <v>57</v>
      </c>
      <c r="E16" s="100"/>
      <c r="F16" s="101"/>
      <c r="G16" s="102" t="s">
        <v>29</v>
      </c>
      <c r="H16" s="99" t="s">
        <v>58</v>
      </c>
      <c r="I16" s="100"/>
      <c r="J16" s="101"/>
      <c r="K16" s="102" t="s">
        <v>29</v>
      </c>
      <c r="L16" s="99" t="s">
        <v>70</v>
      </c>
      <c r="M16" s="100"/>
      <c r="N16" s="101"/>
      <c r="O16" s="107" t="s">
        <v>29</v>
      </c>
    </row>
    <row r="17" spans="1:15" s="1" customFormat="1" ht="39.950000000000003" customHeight="1" x14ac:dyDescent="0.25">
      <c r="A17" s="98"/>
      <c r="B17" s="98"/>
      <c r="C17" s="98"/>
      <c r="D17" s="44" t="s">
        <v>30</v>
      </c>
      <c r="E17" s="25" t="s">
        <v>31</v>
      </c>
      <c r="F17" s="25" t="s">
        <v>32</v>
      </c>
      <c r="G17" s="103"/>
      <c r="H17" s="44" t="s">
        <v>30</v>
      </c>
      <c r="I17" s="25" t="s">
        <v>31</v>
      </c>
      <c r="J17" s="25" t="s">
        <v>32</v>
      </c>
      <c r="K17" s="103"/>
      <c r="L17" s="57" t="s">
        <v>30</v>
      </c>
      <c r="M17" s="33" t="s">
        <v>31</v>
      </c>
      <c r="N17" s="33" t="s">
        <v>32</v>
      </c>
      <c r="O17" s="108"/>
    </row>
    <row r="18" spans="1:15" s="1" customFormat="1" ht="12.95" customHeight="1" x14ac:dyDescent="0.25">
      <c r="A18" s="11">
        <v>1</v>
      </c>
      <c r="B18" s="11">
        <v>2</v>
      </c>
      <c r="C18" s="32">
        <v>3</v>
      </c>
      <c r="D18" s="45">
        <v>8</v>
      </c>
      <c r="E18" s="11">
        <v>9</v>
      </c>
      <c r="F18" s="11">
        <v>10</v>
      </c>
      <c r="G18" s="46">
        <v>11</v>
      </c>
      <c r="H18" s="45">
        <v>4</v>
      </c>
      <c r="I18" s="11">
        <v>5</v>
      </c>
      <c r="J18" s="11">
        <v>6</v>
      </c>
      <c r="K18" s="46">
        <v>7</v>
      </c>
      <c r="L18" s="58">
        <v>8</v>
      </c>
      <c r="M18" s="34">
        <v>9</v>
      </c>
      <c r="N18" s="34">
        <v>10</v>
      </c>
      <c r="O18" s="59">
        <v>11</v>
      </c>
    </row>
    <row r="19" spans="1:15" s="1" customFormat="1" ht="12.95" customHeight="1" x14ac:dyDescent="0.25">
      <c r="A19" s="12"/>
      <c r="B19" s="30" t="s">
        <v>54</v>
      </c>
      <c r="C19" s="31"/>
      <c r="D19" s="47"/>
      <c r="E19" s="31"/>
      <c r="F19" s="31"/>
      <c r="G19" s="48"/>
      <c r="H19" s="47"/>
      <c r="I19" s="31"/>
      <c r="J19" s="31"/>
      <c r="K19" s="48"/>
      <c r="L19" s="60"/>
      <c r="M19" s="61"/>
      <c r="N19" s="61"/>
      <c r="O19" s="62"/>
    </row>
    <row r="20" spans="1:15" s="1" customFormat="1" ht="51" customHeight="1" x14ac:dyDescent="0.25">
      <c r="A20" s="37">
        <v>1</v>
      </c>
      <c r="B20" s="10" t="s">
        <v>55</v>
      </c>
      <c r="C20" s="36" t="s">
        <v>56</v>
      </c>
      <c r="D20" s="49">
        <f>(83+175)/1.18</f>
        <v>218.64406779661019</v>
      </c>
      <c r="E20" s="15">
        <f>2983.59/1.18</f>
        <v>2528.4661016949153</v>
      </c>
      <c r="F20" s="15"/>
      <c r="G20" s="50">
        <f>SUM(D20:F20)</f>
        <v>2747.1101694915255</v>
      </c>
      <c r="H20" s="49">
        <f>D20/7.83</f>
        <v>27.923891161763752</v>
      </c>
      <c r="I20" s="15">
        <f>E20/4.53</f>
        <v>558.16028734987094</v>
      </c>
      <c r="J20" s="15"/>
      <c r="K20" s="50">
        <f>SUM(H20:J20)</f>
        <v>586.08417851163472</v>
      </c>
      <c r="L20" s="49">
        <f>H20*7.56</f>
        <v>211.10461718293396</v>
      </c>
      <c r="M20" s="15">
        <f>I20*4.44</f>
        <v>2478.2316758334273</v>
      </c>
      <c r="N20" s="15"/>
      <c r="O20" s="50">
        <f>SUM(L20:N20)</f>
        <v>2689.3362930163612</v>
      </c>
    </row>
    <row r="21" spans="1:15" s="1" customFormat="1" ht="12.95" customHeight="1" x14ac:dyDescent="0.25">
      <c r="A21" s="37"/>
      <c r="B21" s="13"/>
      <c r="C21" s="42" t="s">
        <v>59</v>
      </c>
      <c r="D21" s="51">
        <f>SUM(D20)</f>
        <v>218.64406779661019</v>
      </c>
      <c r="E21" s="14">
        <f t="shared" ref="E21" si="0">SUM(E20)</f>
        <v>2528.4661016949153</v>
      </c>
      <c r="F21" s="14">
        <f t="shared" ref="F21" si="1">SUM(F20)</f>
        <v>0</v>
      </c>
      <c r="G21" s="52">
        <f>SUM(D21:F21)</f>
        <v>2747.1101694915255</v>
      </c>
      <c r="H21" s="51">
        <f>SUM(H20)</f>
        <v>27.923891161763752</v>
      </c>
      <c r="I21" s="14">
        <f t="shared" ref="I21:J21" si="2">SUM(I20)</f>
        <v>558.16028734987094</v>
      </c>
      <c r="J21" s="14">
        <f t="shared" si="2"/>
        <v>0</v>
      </c>
      <c r="K21" s="52">
        <f>SUM(H21:J21)</f>
        <v>586.08417851163472</v>
      </c>
      <c r="L21" s="51">
        <f>SUM(L20)</f>
        <v>211.10461718293396</v>
      </c>
      <c r="M21" s="14">
        <f t="shared" ref="M21" si="3">SUM(M20)</f>
        <v>2478.2316758334273</v>
      </c>
      <c r="N21" s="14">
        <f t="shared" ref="N21" si="4">SUM(N20)</f>
        <v>0</v>
      </c>
      <c r="O21" s="52">
        <f>SUM(L21:N21)</f>
        <v>2689.3362930163612</v>
      </c>
    </row>
    <row r="22" spans="1:15" s="1" customFormat="1" ht="12.95" customHeight="1" x14ac:dyDescent="0.25">
      <c r="A22" s="38"/>
      <c r="B22" s="40" t="s">
        <v>33</v>
      </c>
      <c r="C22" s="41"/>
      <c r="D22" s="82"/>
      <c r="E22" s="83"/>
      <c r="F22" s="83"/>
      <c r="G22" s="84"/>
      <c r="H22" s="82"/>
      <c r="I22" s="83"/>
      <c r="J22" s="83"/>
      <c r="K22" s="84"/>
      <c r="L22" s="65"/>
      <c r="M22" s="66"/>
      <c r="N22" s="66"/>
      <c r="O22" s="67"/>
    </row>
    <row r="23" spans="1:15" s="1" customFormat="1" ht="62.25" customHeight="1" x14ac:dyDescent="0.25">
      <c r="A23" s="37">
        <v>2</v>
      </c>
      <c r="B23" s="10" t="s">
        <v>55</v>
      </c>
      <c r="C23" s="36" t="s">
        <v>60</v>
      </c>
      <c r="D23" s="85"/>
      <c r="E23" s="86"/>
      <c r="F23" s="39">
        <f>103/1.18</f>
        <v>87.288135593220346</v>
      </c>
      <c r="G23" s="63">
        <f>SUM(D23:F23)</f>
        <v>87.288135593220346</v>
      </c>
      <c r="H23" s="85"/>
      <c r="I23" s="86"/>
      <c r="J23" s="39">
        <f>ROUND(F23/15.8,5)</f>
        <v>5.5245699999999998</v>
      </c>
      <c r="K23" s="63">
        <f>SUM(H23:J23)</f>
        <v>5.5245699999999998</v>
      </c>
      <c r="L23" s="68"/>
      <c r="M23" s="69"/>
      <c r="N23" s="15">
        <f>J23*15.23</f>
        <v>84.139201099999994</v>
      </c>
      <c r="O23" s="50">
        <f>SUM(L23:N23)</f>
        <v>84.139201099999994</v>
      </c>
    </row>
    <row r="24" spans="1:15" s="1" customFormat="1" ht="58.5" customHeight="1" x14ac:dyDescent="0.25">
      <c r="A24" s="37">
        <v>3</v>
      </c>
      <c r="B24" s="10" t="s">
        <v>55</v>
      </c>
      <c r="C24" s="36" t="s">
        <v>61</v>
      </c>
      <c r="D24" s="85"/>
      <c r="E24" s="86"/>
      <c r="F24" s="39">
        <f>24.5/1.18</f>
        <v>20.762711864406782</v>
      </c>
      <c r="G24" s="63">
        <f>SUM(D24:F24)</f>
        <v>20.762711864406782</v>
      </c>
      <c r="H24" s="85"/>
      <c r="I24" s="86"/>
      <c r="J24" s="39">
        <f>ROUND(F24/8.93,5)</f>
        <v>2.3250500000000001</v>
      </c>
      <c r="K24" s="63">
        <f>SUM(H24:J24)</f>
        <v>2.3250500000000001</v>
      </c>
      <c r="L24" s="68"/>
      <c r="M24" s="69"/>
      <c r="N24" s="15">
        <f>J24*8.74</f>
        <v>20.320937000000001</v>
      </c>
      <c r="O24" s="50">
        <f>SUM(L24:N24)</f>
        <v>20.320937000000001</v>
      </c>
    </row>
    <row r="25" spans="1:15" s="1" customFormat="1" ht="12.95" customHeight="1" x14ac:dyDescent="0.25">
      <c r="A25" s="13"/>
      <c r="B25" s="13"/>
      <c r="C25" s="42" t="s">
        <v>62</v>
      </c>
      <c r="D25" s="70">
        <f>SUM(D23:D24)</f>
        <v>0</v>
      </c>
      <c r="E25" s="71">
        <f t="shared" ref="E25" si="5">SUM(E23:E24)</f>
        <v>0</v>
      </c>
      <c r="F25" s="71">
        <f t="shared" ref="F25" si="6">SUM(F23:F24)</f>
        <v>108.05084745762713</v>
      </c>
      <c r="G25" s="72">
        <f>SUM(D25:F25)</f>
        <v>108.05084745762713</v>
      </c>
      <c r="H25" s="70">
        <f>SUM(H23:H24)</f>
        <v>0</v>
      </c>
      <c r="I25" s="71">
        <f t="shared" ref="I25:J25" si="7">SUM(I23:I24)</f>
        <v>0</v>
      </c>
      <c r="J25" s="71">
        <f t="shared" si="7"/>
        <v>7.8496199999999998</v>
      </c>
      <c r="K25" s="72">
        <f>SUM(H25:J25)</f>
        <v>7.8496199999999998</v>
      </c>
      <c r="L25" s="70">
        <f>SUM(L23:L24)</f>
        <v>0</v>
      </c>
      <c r="M25" s="71">
        <f t="shared" ref="M25" si="8">SUM(M23:M24)</f>
        <v>0</v>
      </c>
      <c r="N25" s="71">
        <f t="shared" ref="N25" si="9">SUM(N23:N24)</f>
        <v>104.46013809999999</v>
      </c>
      <c r="O25" s="72">
        <f>SUM(L25:N25)</f>
        <v>104.46013809999999</v>
      </c>
    </row>
    <row r="26" spans="1:15" s="1" customFormat="1" ht="12.95" customHeight="1" x14ac:dyDescent="0.25">
      <c r="A26" s="13"/>
      <c r="B26" s="13"/>
      <c r="C26" s="42" t="s">
        <v>63</v>
      </c>
      <c r="D26" s="51">
        <f>D21+D25</f>
        <v>218.64406779661019</v>
      </c>
      <c r="E26" s="14">
        <f t="shared" ref="E26" si="10">E21+E25</f>
        <v>2528.4661016949153</v>
      </c>
      <c r="F26" s="14">
        <f t="shared" ref="F26" si="11">F21+F25</f>
        <v>108.05084745762713</v>
      </c>
      <c r="G26" s="52">
        <f t="shared" ref="G26" si="12">G21+G25</f>
        <v>2855.1610169491528</v>
      </c>
      <c r="H26" s="51">
        <f>H21+H25</f>
        <v>27.923891161763752</v>
      </c>
      <c r="I26" s="14">
        <f t="shared" ref="I26:K26" si="13">I21+I25</f>
        <v>558.16028734987094</v>
      </c>
      <c r="J26" s="14">
        <f t="shared" si="13"/>
        <v>7.8496199999999998</v>
      </c>
      <c r="K26" s="52">
        <f t="shared" si="13"/>
        <v>593.93379851163468</v>
      </c>
      <c r="L26" s="51">
        <f>L21+L25</f>
        <v>211.10461718293396</v>
      </c>
      <c r="M26" s="14">
        <f t="shared" ref="M26" si="14">M21+M25</f>
        <v>2478.2316758334273</v>
      </c>
      <c r="N26" s="14">
        <f t="shared" ref="N26" si="15">N21+N25</f>
        <v>104.46013809999999</v>
      </c>
      <c r="O26" s="52">
        <f t="shared" ref="O26" si="16">O21+O25</f>
        <v>2793.7964311163614</v>
      </c>
    </row>
    <row r="27" spans="1:15" s="1" customFormat="1" ht="12.95" customHeight="1" x14ac:dyDescent="0.25">
      <c r="A27" s="13"/>
      <c r="B27" s="30" t="s">
        <v>34</v>
      </c>
      <c r="C27" s="31"/>
      <c r="D27" s="87"/>
      <c r="E27" s="88"/>
      <c r="F27" s="88"/>
      <c r="G27" s="89"/>
      <c r="H27" s="87"/>
      <c r="I27" s="88"/>
      <c r="J27" s="88"/>
      <c r="K27" s="89"/>
      <c r="L27" s="65"/>
      <c r="M27" s="66"/>
      <c r="N27" s="66"/>
      <c r="O27" s="67"/>
    </row>
    <row r="28" spans="1:15" s="1" customFormat="1" ht="12.95" customHeight="1" x14ac:dyDescent="0.25">
      <c r="A28" s="37">
        <v>4</v>
      </c>
      <c r="B28" s="10"/>
      <c r="C28" s="36" t="s">
        <v>65</v>
      </c>
      <c r="D28" s="73"/>
      <c r="E28" s="35"/>
      <c r="F28" s="15">
        <f>ROUND(G26*2.14%,5)</f>
        <v>61.100450000000002</v>
      </c>
      <c r="G28" s="50">
        <f>SUM(D28:F28)</f>
        <v>61.100450000000002</v>
      </c>
      <c r="H28" s="73"/>
      <c r="I28" s="35"/>
      <c r="J28" s="15">
        <f>ROUND(K26*2.14%,5)</f>
        <v>12.710179999999999</v>
      </c>
      <c r="K28" s="50">
        <f>SUM(H28:J28)</f>
        <v>12.710179999999999</v>
      </c>
      <c r="L28" s="73"/>
      <c r="M28" s="35"/>
      <c r="N28" s="15">
        <f>ROUND(O26*2.14%,5)</f>
        <v>59.787239999999997</v>
      </c>
      <c r="O28" s="50">
        <f>SUM(L28:N28)</f>
        <v>59.787239999999997</v>
      </c>
    </row>
    <row r="29" spans="1:15" s="1" customFormat="1" ht="12.95" customHeight="1" x14ac:dyDescent="0.25">
      <c r="A29" s="37">
        <v>5</v>
      </c>
      <c r="B29" s="10"/>
      <c r="C29" s="36" t="s">
        <v>64</v>
      </c>
      <c r="D29" s="73"/>
      <c r="E29" s="35"/>
      <c r="F29" s="15">
        <f>ROUNDUP(G26*3.73%,5)</f>
        <v>106.49751000000001</v>
      </c>
      <c r="G29" s="50">
        <f>SUM(D29:F29)</f>
        <v>106.49751000000001</v>
      </c>
      <c r="H29" s="73"/>
      <c r="I29" s="35"/>
      <c r="J29" s="15">
        <f>ROUNDUP(K26*3.73%,5)</f>
        <v>22.153739999999999</v>
      </c>
      <c r="K29" s="50">
        <f>SUM(H29:J29)</f>
        <v>22.153739999999999</v>
      </c>
      <c r="L29" s="73"/>
      <c r="M29" s="35"/>
      <c r="N29" s="15">
        <f>ROUNDUP(O26*3.73%,5)</f>
        <v>104.20861000000001</v>
      </c>
      <c r="O29" s="50">
        <f>SUM(L29:N29)</f>
        <v>104.20861000000001</v>
      </c>
    </row>
    <row r="30" spans="1:15" s="1" customFormat="1" ht="12.95" customHeight="1" x14ac:dyDescent="0.25">
      <c r="A30" s="13"/>
      <c r="B30" s="13"/>
      <c r="C30" s="42" t="s">
        <v>35</v>
      </c>
      <c r="D30" s="74"/>
      <c r="E30" s="75"/>
      <c r="F30" s="14">
        <f>SUM(F28:F29)</f>
        <v>167.59796</v>
      </c>
      <c r="G30" s="52">
        <f>SUM(D30:F30)</f>
        <v>167.59796</v>
      </c>
      <c r="H30" s="74"/>
      <c r="I30" s="75"/>
      <c r="J30" s="14">
        <f>SUM(J28:J29)</f>
        <v>34.86392</v>
      </c>
      <c r="K30" s="52">
        <f>SUM(H30:J30)</f>
        <v>34.86392</v>
      </c>
      <c r="L30" s="74"/>
      <c r="M30" s="75"/>
      <c r="N30" s="14">
        <f>SUM(N28:N29)</f>
        <v>163.99585000000002</v>
      </c>
      <c r="O30" s="52">
        <f>SUM(L30:N30)</f>
        <v>163.99585000000002</v>
      </c>
    </row>
    <row r="31" spans="1:15" s="1" customFormat="1" ht="12.95" customHeight="1" x14ac:dyDescent="0.25">
      <c r="A31" s="13"/>
      <c r="B31" s="13"/>
      <c r="C31" s="42" t="s">
        <v>66</v>
      </c>
      <c r="D31" s="51">
        <f>D26+D30</f>
        <v>218.64406779661019</v>
      </c>
      <c r="E31" s="14">
        <f t="shared" ref="E31" si="17">E26+E30</f>
        <v>2528.4661016949153</v>
      </c>
      <c r="F31" s="14">
        <f t="shared" ref="F31" si="18">F26+F30</f>
        <v>275.64880745762713</v>
      </c>
      <c r="G31" s="52">
        <f>SUM(D31:F31)</f>
        <v>3022.7589769491528</v>
      </c>
      <c r="H31" s="51">
        <f>H26+H30</f>
        <v>27.923891161763752</v>
      </c>
      <c r="I31" s="14">
        <f t="shared" ref="I31:J31" si="19">I26+I30</f>
        <v>558.16028734987094</v>
      </c>
      <c r="J31" s="14">
        <f t="shared" si="19"/>
        <v>42.713540000000002</v>
      </c>
      <c r="K31" s="52">
        <f>SUM(H31:J31)</f>
        <v>628.79771851163468</v>
      </c>
      <c r="L31" s="51">
        <f>L26+L30</f>
        <v>211.10461718293396</v>
      </c>
      <c r="M31" s="14">
        <f t="shared" ref="M31" si="20">M26+M30</f>
        <v>2478.2316758334273</v>
      </c>
      <c r="N31" s="14">
        <f t="shared" ref="N31" si="21">N26+N30</f>
        <v>268.45598810000001</v>
      </c>
      <c r="O31" s="52">
        <f>SUM(L31:N31)</f>
        <v>2957.7922811163612</v>
      </c>
    </row>
    <row r="32" spans="1:15" s="1" customFormat="1" ht="12.95" customHeight="1" x14ac:dyDescent="0.25">
      <c r="A32" s="13"/>
      <c r="B32" s="30" t="s">
        <v>36</v>
      </c>
      <c r="C32" s="31"/>
      <c r="D32" s="87"/>
      <c r="E32" s="88"/>
      <c r="F32" s="88"/>
      <c r="G32" s="89"/>
      <c r="H32" s="87"/>
      <c r="I32" s="88"/>
      <c r="J32" s="88"/>
      <c r="K32" s="89"/>
      <c r="L32" s="65"/>
      <c r="M32" s="66"/>
      <c r="N32" s="66"/>
      <c r="O32" s="67"/>
    </row>
    <row r="33" spans="1:15" s="1" customFormat="1" ht="42" customHeight="1" x14ac:dyDescent="0.25">
      <c r="A33" s="12">
        <v>6</v>
      </c>
      <c r="B33" s="10" t="s">
        <v>55</v>
      </c>
      <c r="C33" s="36" t="s">
        <v>67</v>
      </c>
      <c r="D33" s="73"/>
      <c r="E33" s="35"/>
      <c r="F33" s="15">
        <f>(56+53.5)/1.18</f>
        <v>92.79661016949153</v>
      </c>
      <c r="G33" s="50">
        <f>SUM(D33:F33)</f>
        <v>92.79661016949153</v>
      </c>
      <c r="H33" s="73"/>
      <c r="I33" s="35"/>
      <c r="J33" s="15">
        <f>ROUND(F33/3.83,5)</f>
        <v>24.22888</v>
      </c>
      <c r="K33" s="50">
        <f>SUM(H33:J33)</f>
        <v>24.22888</v>
      </c>
      <c r="L33" s="68"/>
      <c r="M33" s="69"/>
      <c r="N33" s="39">
        <f>J33*3.99</f>
        <v>96.673231200000004</v>
      </c>
      <c r="O33" s="63">
        <f>SUM(L33:N33)</f>
        <v>96.673231200000004</v>
      </c>
    </row>
    <row r="34" spans="1:15" s="1" customFormat="1" ht="12.95" customHeight="1" x14ac:dyDescent="0.25">
      <c r="A34" s="12"/>
      <c r="B34" s="12"/>
      <c r="C34" s="36" t="s">
        <v>37</v>
      </c>
      <c r="D34" s="73"/>
      <c r="E34" s="35"/>
      <c r="F34" s="15">
        <f>F33</f>
        <v>92.79661016949153</v>
      </c>
      <c r="G34" s="50">
        <f>SUM(D34:F34)</f>
        <v>92.79661016949153</v>
      </c>
      <c r="H34" s="73"/>
      <c r="I34" s="35"/>
      <c r="J34" s="15">
        <f>J33</f>
        <v>24.22888</v>
      </c>
      <c r="K34" s="50">
        <f>SUM(H34:J34)</f>
        <v>24.22888</v>
      </c>
      <c r="L34" s="73"/>
      <c r="M34" s="35"/>
      <c r="N34" s="15">
        <f>N33</f>
        <v>96.673231200000004</v>
      </c>
      <c r="O34" s="50">
        <f>SUM(L34:N34)</f>
        <v>96.673231200000004</v>
      </c>
    </row>
    <row r="35" spans="1:15" s="1" customFormat="1" ht="12.95" customHeight="1" x14ac:dyDescent="0.25">
      <c r="A35" s="13"/>
      <c r="B35" s="13"/>
      <c r="C35" s="42" t="s">
        <v>38</v>
      </c>
      <c r="D35" s="51">
        <f>D31+D34</f>
        <v>218.64406779661019</v>
      </c>
      <c r="E35" s="14">
        <f t="shared" ref="E35" si="22">E31+E34</f>
        <v>2528.4661016949153</v>
      </c>
      <c r="F35" s="14">
        <f t="shared" ref="F35" si="23">F31+F34</f>
        <v>368.44541762711867</v>
      </c>
      <c r="G35" s="52">
        <f>SUM(D35:F35)</f>
        <v>3115.5555871186443</v>
      </c>
      <c r="H35" s="51">
        <f>H31+H34</f>
        <v>27.923891161763752</v>
      </c>
      <c r="I35" s="14">
        <f t="shared" ref="I35:J35" si="24">I31+I34</f>
        <v>558.16028734987094</v>
      </c>
      <c r="J35" s="14">
        <f t="shared" si="24"/>
        <v>66.942419999999998</v>
      </c>
      <c r="K35" s="52">
        <f>SUM(H35:J35)</f>
        <v>653.02659851163469</v>
      </c>
      <c r="L35" s="51">
        <f>L31+L34</f>
        <v>211.10461718293396</v>
      </c>
      <c r="M35" s="14">
        <f t="shared" ref="M35" si="25">M31+M34</f>
        <v>2478.2316758334273</v>
      </c>
      <c r="N35" s="14">
        <f t="shared" ref="N35" si="26">N31+N34</f>
        <v>365.12921930000005</v>
      </c>
      <c r="O35" s="52">
        <f>SUM(L35:N35)</f>
        <v>3054.4655123163611</v>
      </c>
    </row>
    <row r="36" spans="1:15" s="1" customFormat="1" ht="12.95" customHeight="1" x14ac:dyDescent="0.25">
      <c r="A36" s="13"/>
      <c r="B36" s="30" t="s">
        <v>39</v>
      </c>
      <c r="C36" s="31"/>
      <c r="D36" s="87"/>
      <c r="E36" s="88"/>
      <c r="F36" s="88"/>
      <c r="G36" s="89"/>
      <c r="H36" s="87"/>
      <c r="I36" s="88"/>
      <c r="J36" s="88"/>
      <c r="K36" s="89"/>
      <c r="L36" s="65"/>
      <c r="M36" s="66"/>
      <c r="N36" s="66"/>
      <c r="O36" s="67"/>
    </row>
    <row r="37" spans="1:15" s="1" customFormat="1" ht="69.95" customHeight="1" x14ac:dyDescent="0.25">
      <c r="A37" s="12">
        <v>7</v>
      </c>
      <c r="B37" s="10" t="s">
        <v>40</v>
      </c>
      <c r="C37" s="43" t="s">
        <v>68</v>
      </c>
      <c r="D37" s="76">
        <f>D35*3%</f>
        <v>6.5593220338983054</v>
      </c>
      <c r="E37" s="77">
        <f t="shared" ref="E37:F37" si="27">E35*3%</f>
        <v>75.853983050847461</v>
      </c>
      <c r="F37" s="77">
        <f t="shared" si="27"/>
        <v>11.05336252881356</v>
      </c>
      <c r="G37" s="78">
        <f>SUM(D37:F37)</f>
        <v>93.466667613559338</v>
      </c>
      <c r="H37" s="76">
        <f>H35*3%</f>
        <v>0.83771673485291254</v>
      </c>
      <c r="I37" s="77">
        <f t="shared" ref="I37:J37" si="28">I35*3%</f>
        <v>16.744808620496126</v>
      </c>
      <c r="J37" s="77">
        <f t="shared" si="28"/>
        <v>2.0082725999999997</v>
      </c>
      <c r="K37" s="78">
        <f>SUM(H37:J37)</f>
        <v>19.590797955349039</v>
      </c>
      <c r="L37" s="76">
        <f>L35*3%</f>
        <v>6.3331385154880184</v>
      </c>
      <c r="M37" s="77">
        <f t="shared" ref="M37:N37" si="29">M35*3%</f>
        <v>74.346950275002811</v>
      </c>
      <c r="N37" s="77">
        <f t="shared" si="29"/>
        <v>10.953876579000001</v>
      </c>
      <c r="O37" s="78">
        <f>SUM(L37:N37)</f>
        <v>91.633965369490824</v>
      </c>
    </row>
    <row r="38" spans="1:15" s="1" customFormat="1" ht="12.95" customHeight="1" x14ac:dyDescent="0.25">
      <c r="A38" s="13"/>
      <c r="B38" s="23" t="s">
        <v>69</v>
      </c>
      <c r="C38" s="42"/>
      <c r="D38" s="79">
        <f>D35+D37</f>
        <v>225.20338983050848</v>
      </c>
      <c r="E38" s="16">
        <f t="shared" ref="E38" si="30">E35+E37</f>
        <v>2604.3200847457629</v>
      </c>
      <c r="F38" s="16">
        <f t="shared" ref="F38" si="31">F35+F37</f>
        <v>379.49878015593225</v>
      </c>
      <c r="G38" s="53">
        <f>SUM(D38:F38)</f>
        <v>3209.0222547322037</v>
      </c>
      <c r="H38" s="79">
        <f>H35+H37</f>
        <v>28.761607896616663</v>
      </c>
      <c r="I38" s="16">
        <f t="shared" ref="I38:J38" si="32">I35+I37</f>
        <v>574.90509597036703</v>
      </c>
      <c r="J38" s="16">
        <f t="shared" si="32"/>
        <v>68.950692599999996</v>
      </c>
      <c r="K38" s="53">
        <f>SUM(H38:J38)</f>
        <v>672.61739646698368</v>
      </c>
      <c r="L38" s="79">
        <f>L35+L37</f>
        <v>217.437755698422</v>
      </c>
      <c r="M38" s="16">
        <f t="shared" ref="M38" si="33">M35+M37</f>
        <v>2552.5786261084299</v>
      </c>
      <c r="N38" s="16">
        <f t="shared" ref="N38" si="34">N35+N37</f>
        <v>376.08309587900004</v>
      </c>
      <c r="O38" s="53">
        <f>SUM(L38:N38)</f>
        <v>3146.099477685852</v>
      </c>
    </row>
    <row r="39" spans="1:15" s="1" customFormat="1" ht="30.75" customHeight="1" x14ac:dyDescent="0.25">
      <c r="A39" s="23"/>
      <c r="B39" s="109" t="s">
        <v>71</v>
      </c>
      <c r="C39" s="110"/>
      <c r="D39" s="79"/>
      <c r="E39" s="16"/>
      <c r="F39" s="16"/>
      <c r="G39" s="53"/>
      <c r="H39" s="79"/>
      <c r="I39" s="16"/>
      <c r="J39" s="16"/>
      <c r="K39" s="53"/>
      <c r="L39" s="90">
        <f>L40+L41</f>
        <v>250.0346759186441</v>
      </c>
      <c r="M39" s="91">
        <f>M40+M41</f>
        <v>2935.2453877471239</v>
      </c>
      <c r="N39" s="91">
        <f>N40+N41</f>
        <v>427.63743519148778</v>
      </c>
      <c r="O39" s="81">
        <f>SUM(L39:N39)</f>
        <v>3612.9174988572559</v>
      </c>
    </row>
    <row r="40" spans="1:15" s="1" customFormat="1" ht="12.95" customHeight="1" x14ac:dyDescent="0.25">
      <c r="A40" s="23"/>
      <c r="B40" s="64" t="s">
        <v>18</v>
      </c>
      <c r="C40" s="26">
        <f>1.049*1.05</f>
        <v>1.10145</v>
      </c>
      <c r="D40" s="79"/>
      <c r="E40" s="16"/>
      <c r="F40" s="16"/>
      <c r="G40" s="53"/>
      <c r="H40" s="79"/>
      <c r="I40" s="16"/>
      <c r="J40" s="16"/>
      <c r="K40" s="53"/>
      <c r="L40" s="92"/>
      <c r="M40" s="93"/>
      <c r="N40" s="93">
        <f>N33*1.03*1.049*1.05</f>
        <v>109.6751524203972</v>
      </c>
      <c r="O40" s="80">
        <f>SUM(L40:N40)</f>
        <v>109.6751524203972</v>
      </c>
    </row>
    <row r="41" spans="1:15" s="1" customFormat="1" ht="12.95" customHeight="1" x14ac:dyDescent="0.25">
      <c r="A41" s="23"/>
      <c r="B41" s="64" t="s">
        <v>72</v>
      </c>
      <c r="C41" s="26">
        <f>1.049*1.05*1.044</f>
        <v>1.1499138</v>
      </c>
      <c r="D41" s="79"/>
      <c r="E41" s="16"/>
      <c r="F41" s="16"/>
      <c r="G41" s="53"/>
      <c r="H41" s="79"/>
      <c r="I41" s="16"/>
      <c r="J41" s="16"/>
      <c r="K41" s="53"/>
      <c r="L41" s="92">
        <f>L38*C41</f>
        <v>250.0346759186441</v>
      </c>
      <c r="M41" s="93">
        <f>M38*C41</f>
        <v>2935.2453877471239</v>
      </c>
      <c r="N41" s="93">
        <f>(N38-N33*1.03)*C41</f>
        <v>317.9622827710906</v>
      </c>
      <c r="O41" s="80">
        <f>SUM(L41:N41)</f>
        <v>3503.2423464368585</v>
      </c>
    </row>
    <row r="42" spans="1:15" s="1" customFormat="1" ht="12.95" customHeight="1" x14ac:dyDescent="0.25">
      <c r="A42" s="13"/>
      <c r="B42" s="13" t="s">
        <v>41</v>
      </c>
      <c r="C42" s="42"/>
      <c r="D42" s="74"/>
      <c r="E42" s="75"/>
      <c r="F42" s="75"/>
      <c r="G42" s="94"/>
      <c r="H42" s="74"/>
      <c r="I42" s="75"/>
      <c r="J42" s="75"/>
      <c r="K42" s="94"/>
      <c r="L42" s="74"/>
      <c r="M42" s="75"/>
      <c r="N42" s="75"/>
      <c r="O42" s="94"/>
    </row>
    <row r="43" spans="1:15" s="1" customFormat="1" ht="12.95" customHeight="1" x14ac:dyDescent="0.25">
      <c r="A43" s="12"/>
      <c r="B43" s="12" t="s">
        <v>12</v>
      </c>
      <c r="C43" s="36"/>
      <c r="D43" s="76">
        <f>D38*20%</f>
        <v>45.040677966101697</v>
      </c>
      <c r="E43" s="77">
        <f>E38*20%</f>
        <v>520.86401694915264</v>
      </c>
      <c r="F43" s="77">
        <f>F38*20%</f>
        <v>75.899756031186456</v>
      </c>
      <c r="G43" s="78">
        <f>SUM(D43:F43)</f>
        <v>641.80445094644085</v>
      </c>
      <c r="H43" s="76">
        <f>H38*20%</f>
        <v>5.7523215793233327</v>
      </c>
      <c r="I43" s="77">
        <f>I38*20%</f>
        <v>114.98101919407341</v>
      </c>
      <c r="J43" s="77">
        <f>J38*20%</f>
        <v>13.790138519999999</v>
      </c>
      <c r="K43" s="78">
        <f>SUM(H43:J43)</f>
        <v>134.52347929339675</v>
      </c>
      <c r="L43" s="76">
        <f>L39*20%</f>
        <v>50.006935183728821</v>
      </c>
      <c r="M43" s="77">
        <f>M39*20%</f>
        <v>587.04907754942485</v>
      </c>
      <c r="N43" s="77">
        <f>N39*20%</f>
        <v>85.527487038297565</v>
      </c>
      <c r="O43" s="78">
        <f>SUM(L43:N43)</f>
        <v>722.58349977145122</v>
      </c>
    </row>
    <row r="44" spans="1:15" s="1" customFormat="1" ht="12.95" customHeight="1" thickBot="1" x14ac:dyDescent="0.3">
      <c r="A44" s="13"/>
      <c r="B44" s="13" t="s">
        <v>15</v>
      </c>
      <c r="C44" s="42"/>
      <c r="D44" s="54">
        <f>D38+D43</f>
        <v>270.24406779661018</v>
      </c>
      <c r="E44" s="55">
        <f>E38+E43</f>
        <v>3125.1841016949156</v>
      </c>
      <c r="F44" s="55">
        <f>F38+F43</f>
        <v>455.39853618711868</v>
      </c>
      <c r="G44" s="56">
        <f>SUM(D44:F44)</f>
        <v>3850.8267056786444</v>
      </c>
      <c r="H44" s="54">
        <f>H38+H43</f>
        <v>34.513929475939996</v>
      </c>
      <c r="I44" s="55">
        <f>I38+I43</f>
        <v>689.88611516444041</v>
      </c>
      <c r="J44" s="55">
        <f>J38+J43</f>
        <v>82.740831119999996</v>
      </c>
      <c r="K44" s="56">
        <f>SUM(H44:J44)</f>
        <v>807.14087576038037</v>
      </c>
      <c r="L44" s="54">
        <f>L39+L43</f>
        <v>300.04161110237294</v>
      </c>
      <c r="M44" s="55">
        <f t="shared" ref="M44:N44" si="35">M39+M43</f>
        <v>3522.2944652965489</v>
      </c>
      <c r="N44" s="55">
        <f t="shared" si="35"/>
        <v>513.16492222978536</v>
      </c>
      <c r="O44" s="56">
        <f>SUM(L44:N44)</f>
        <v>4335.5009986287068</v>
      </c>
    </row>
    <row r="45" spans="1:15" s="1" customFormat="1" ht="12.95" customHeight="1" x14ac:dyDescent="0.25">
      <c r="A45" s="8"/>
      <c r="B45" s="8"/>
      <c r="C45" s="8"/>
      <c r="D45" s="22"/>
      <c r="E45" s="22"/>
      <c r="F45" s="22"/>
      <c r="G45" s="22"/>
      <c r="H45" s="22"/>
      <c r="I45" s="22"/>
      <c r="J45" s="22"/>
      <c r="K45" s="22"/>
    </row>
    <row r="46" spans="1:15" s="1" customFormat="1" ht="12.95" customHeight="1" x14ac:dyDescent="0.25"/>
    <row r="47" spans="1:15" ht="15" customHeight="1" x14ac:dyDescent="0.25">
      <c r="B47" s="3" t="s">
        <v>7</v>
      </c>
      <c r="C47" s="95"/>
      <c r="D47" s="95"/>
      <c r="E47" s="95"/>
      <c r="F47" s="95"/>
      <c r="G47" s="95"/>
      <c r="H47" s="95"/>
      <c r="J47" s="6" t="s">
        <v>9</v>
      </c>
    </row>
    <row r="48" spans="1:15" ht="15" customHeight="1" x14ac:dyDescent="0.25"/>
    <row r="49" spans="2:8" ht="15" customHeight="1" x14ac:dyDescent="0.25">
      <c r="B49" s="3" t="s">
        <v>5</v>
      </c>
    </row>
    <row r="50" spans="2:8" ht="15" customHeight="1" x14ac:dyDescent="0.25">
      <c r="B50" s="5" t="s">
        <v>8</v>
      </c>
      <c r="C50" s="95"/>
      <c r="D50" s="95"/>
      <c r="E50" s="95"/>
      <c r="F50" s="95"/>
      <c r="G50" s="95"/>
      <c r="H50" s="95"/>
    </row>
  </sheetData>
  <mergeCells count="19">
    <mergeCell ref="L16:N16"/>
    <mergeCell ref="O16:O17"/>
    <mergeCell ref="D16:F16"/>
    <mergeCell ref="G16:G17"/>
    <mergeCell ref="B39:C39"/>
    <mergeCell ref="C13:K13"/>
    <mergeCell ref="C2:I2"/>
    <mergeCell ref="C3:I3"/>
    <mergeCell ref="B6:K6"/>
    <mergeCell ref="B9:K9"/>
    <mergeCell ref="B12:K12"/>
    <mergeCell ref="C47:H47"/>
    <mergeCell ref="C50:H50"/>
    <mergeCell ref="B14:K14"/>
    <mergeCell ref="A16:A17"/>
    <mergeCell ref="B16:B17"/>
    <mergeCell ref="C16:C17"/>
    <mergeCell ref="H16:J16"/>
    <mergeCell ref="K16:K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J20" sqref="J20"/>
    </sheetView>
  </sheetViews>
  <sheetFormatPr defaultColWidth="9" defaultRowHeight="15" x14ac:dyDescent="0.25"/>
  <cols>
    <col min="1" max="1" width="9" style="1" customWidth="1"/>
    <col min="2" max="2" width="13" style="1" customWidth="1"/>
    <col min="3" max="3" width="19.85546875" style="1" customWidth="1"/>
    <col min="4" max="4" width="11.7109375" style="1" customWidth="1"/>
    <col min="5" max="5" width="17.140625" style="1" customWidth="1"/>
    <col min="6" max="6" width="13.7109375" style="1" customWidth="1"/>
    <col min="7" max="7" width="13.140625" style="1" customWidth="1"/>
    <col min="8" max="8" width="13" style="1" customWidth="1"/>
    <col min="9" max="9" width="17.7109375" style="1" customWidth="1"/>
    <col min="10" max="10" width="17.28515625" style="1" customWidth="1"/>
    <col min="11" max="11" width="1.5703125" style="1" customWidth="1"/>
  </cols>
  <sheetData>
    <row r="1" spans="1:11" x14ac:dyDescent="0.25">
      <c r="I1" s="139" t="s">
        <v>10</v>
      </c>
      <c r="J1" s="139"/>
    </row>
    <row r="2" spans="1:11" ht="44.25" x14ac:dyDescent="0.55000000000000004">
      <c r="H2" s="140" t="s">
        <v>11</v>
      </c>
      <c r="I2" s="140"/>
      <c r="J2" s="140"/>
      <c r="K2" s="2" t="s">
        <v>1</v>
      </c>
    </row>
    <row r="4" spans="1:11" x14ac:dyDescent="0.25">
      <c r="I4" s="141" t="s">
        <v>42</v>
      </c>
      <c r="J4" s="141"/>
    </row>
    <row r="6" spans="1:11" x14ac:dyDescent="0.25">
      <c r="A6" s="142" t="s">
        <v>44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1" ht="44.25" x14ac:dyDescent="0.55000000000000004">
      <c r="A7" s="138" t="s">
        <v>74</v>
      </c>
      <c r="B7" s="138"/>
      <c r="C7" s="138"/>
      <c r="D7" s="138"/>
      <c r="E7" s="138"/>
      <c r="F7" s="138"/>
      <c r="G7" s="138"/>
      <c r="H7" s="138"/>
      <c r="I7" s="138"/>
      <c r="J7" s="138"/>
      <c r="K7" s="2" t="s">
        <v>1</v>
      </c>
    </row>
    <row r="8" spans="1:11" ht="44.25" x14ac:dyDescent="0.55000000000000004">
      <c r="A8" s="129" t="s">
        <v>53</v>
      </c>
      <c r="B8" s="129"/>
      <c r="C8" s="129"/>
      <c r="D8" s="129"/>
      <c r="E8" s="129"/>
      <c r="F8" s="129"/>
      <c r="G8" s="129"/>
      <c r="H8" s="129"/>
      <c r="I8" s="129"/>
      <c r="J8" s="129"/>
      <c r="K8" s="2" t="s">
        <v>1</v>
      </c>
    </row>
    <row r="9" spans="1:11" x14ac:dyDescent="0.25">
      <c r="A9" s="19" t="s">
        <v>2</v>
      </c>
      <c r="B9" s="17"/>
      <c r="C9" s="17"/>
      <c r="D9" s="17"/>
      <c r="E9" s="17"/>
      <c r="F9" s="17"/>
      <c r="G9" s="17"/>
      <c r="H9" s="17"/>
      <c r="I9" s="17"/>
      <c r="J9" s="17"/>
    </row>
    <row r="10" spans="1:11" x14ac:dyDescent="0.25">
      <c r="A10" s="130" t="s">
        <v>6</v>
      </c>
      <c r="B10" s="130" t="s">
        <v>0</v>
      </c>
      <c r="C10" s="130"/>
      <c r="D10" s="130"/>
      <c r="E10" s="133" t="s">
        <v>16</v>
      </c>
      <c r="F10" s="133" t="s">
        <v>45</v>
      </c>
      <c r="G10" s="133" t="s">
        <v>17</v>
      </c>
      <c r="H10" s="133" t="s">
        <v>19</v>
      </c>
      <c r="I10" s="133" t="s">
        <v>50</v>
      </c>
      <c r="J10" s="135" t="s">
        <v>46</v>
      </c>
    </row>
    <row r="11" spans="1:11" x14ac:dyDescent="0.25">
      <c r="A11" s="131"/>
      <c r="B11" s="131"/>
      <c r="C11" s="132"/>
      <c r="D11" s="132"/>
      <c r="E11" s="134"/>
      <c r="F11" s="134"/>
      <c r="G11" s="134"/>
      <c r="H11" s="134"/>
      <c r="I11" s="134"/>
      <c r="J11" s="136"/>
    </row>
    <row r="12" spans="1:11" x14ac:dyDescent="0.25">
      <c r="A12" s="131"/>
      <c r="B12" s="131"/>
      <c r="C12" s="132"/>
      <c r="D12" s="132"/>
      <c r="E12" s="134"/>
      <c r="F12" s="134"/>
      <c r="G12" s="134"/>
      <c r="H12" s="134"/>
      <c r="I12" s="134"/>
      <c r="J12" s="136"/>
    </row>
    <row r="13" spans="1:11" x14ac:dyDescent="0.25">
      <c r="A13" s="131"/>
      <c r="B13" s="131"/>
      <c r="C13" s="132"/>
      <c r="D13" s="132"/>
      <c r="E13" s="134"/>
      <c r="F13" s="134"/>
      <c r="G13" s="134"/>
      <c r="H13" s="134"/>
      <c r="I13" s="134"/>
      <c r="J13" s="137"/>
    </row>
    <row r="14" spans="1:11" s="1" customFormat="1" ht="15" customHeight="1" x14ac:dyDescent="0.25">
      <c r="A14" s="120">
        <v>1</v>
      </c>
      <c r="B14" s="97" t="s">
        <v>47</v>
      </c>
      <c r="C14" s="122"/>
      <c r="D14" s="123"/>
      <c r="E14" s="114">
        <f>'Расчет стоимости'!H20*1.015</f>
        <v>28.342749529190204</v>
      </c>
      <c r="F14" s="114">
        <f>'Расчет стоимости'!I20*1.015</f>
        <v>566.53269166011899</v>
      </c>
      <c r="G14" s="114">
        <f>'Расчет стоимости'!J23*1.015</f>
        <v>5.6074385499999995</v>
      </c>
      <c r="H14" s="114">
        <f>'Расчет стоимости'!K24*1.015</f>
        <v>2.3599257499999999</v>
      </c>
      <c r="I14" s="114">
        <f>'Расчет стоимости'!J33*1.015</f>
        <v>24.5923132</v>
      </c>
      <c r="J14" s="111">
        <f>SUM(E14:I16)</f>
        <v>655.35911868930918</v>
      </c>
    </row>
    <row r="15" spans="1:11" s="1" customFormat="1" x14ac:dyDescent="0.25">
      <c r="A15" s="121"/>
      <c r="B15" s="98"/>
      <c r="C15" s="124"/>
      <c r="D15" s="125"/>
      <c r="E15" s="115"/>
      <c r="F15" s="115"/>
      <c r="G15" s="115"/>
      <c r="H15" s="115"/>
      <c r="I15" s="115"/>
      <c r="J15" s="112"/>
    </row>
    <row r="16" spans="1:11" s="1" customFormat="1" x14ac:dyDescent="0.25">
      <c r="A16" s="121"/>
      <c r="B16" s="126"/>
      <c r="C16" s="127"/>
      <c r="D16" s="128"/>
      <c r="E16" s="115">
        <v>27.923999999999999</v>
      </c>
      <c r="F16" s="115"/>
      <c r="G16" s="115"/>
      <c r="H16" s="115"/>
      <c r="I16" s="115"/>
      <c r="J16" s="113"/>
    </row>
    <row r="17" spans="1:11" ht="51" customHeight="1" x14ac:dyDescent="0.25">
      <c r="A17" s="24">
        <v>2</v>
      </c>
      <c r="B17" s="116" t="s">
        <v>49</v>
      </c>
      <c r="C17" s="117"/>
      <c r="D17" s="118"/>
      <c r="E17" s="26">
        <v>7.56</v>
      </c>
      <c r="F17" s="27">
        <v>4.4400000000000004</v>
      </c>
      <c r="G17" s="27">
        <v>15.23</v>
      </c>
      <c r="H17" s="27">
        <v>8.74</v>
      </c>
      <c r="I17" s="27">
        <v>3.99</v>
      </c>
      <c r="J17" s="28"/>
    </row>
    <row r="18" spans="1:11" ht="44.25" x14ac:dyDescent="0.55000000000000004">
      <c r="A18" s="18">
        <v>3</v>
      </c>
      <c r="B18" s="97" t="s">
        <v>51</v>
      </c>
      <c r="C18" s="97"/>
      <c r="D18" s="97"/>
      <c r="E18" s="26">
        <f>E14*E17</f>
        <v>214.27118644067792</v>
      </c>
      <c r="F18" s="26">
        <f t="shared" ref="F18:I18" si="0">F14*F17</f>
        <v>2515.4051509709284</v>
      </c>
      <c r="G18" s="26">
        <f t="shared" si="0"/>
        <v>85.401289116499996</v>
      </c>
      <c r="H18" s="26">
        <f t="shared" si="0"/>
        <v>20.625751054999999</v>
      </c>
      <c r="I18" s="26">
        <f t="shared" si="0"/>
        <v>98.123329667999997</v>
      </c>
      <c r="J18" s="29">
        <f>SUM(E18:I18)</f>
        <v>2933.8267072511062</v>
      </c>
      <c r="K18" s="2" t="s">
        <v>1</v>
      </c>
    </row>
    <row r="19" spans="1:11" s="1" customFormat="1" ht="44.25" x14ac:dyDescent="0.55000000000000004">
      <c r="A19" s="18">
        <v>4</v>
      </c>
      <c r="B19" s="97" t="s">
        <v>71</v>
      </c>
      <c r="C19" s="97"/>
      <c r="D19" s="97"/>
      <c r="E19" s="26">
        <f>1.049*1.05*1.044</f>
        <v>1.1499138</v>
      </c>
      <c r="F19" s="26">
        <f t="shared" ref="F19:H19" si="1">1.049*1.05*1.044</f>
        <v>1.1499138</v>
      </c>
      <c r="G19" s="26">
        <f t="shared" si="1"/>
        <v>1.1499138</v>
      </c>
      <c r="H19" s="26">
        <f t="shared" si="1"/>
        <v>1.1499138</v>
      </c>
      <c r="I19" s="26">
        <f>1.049*1.05</f>
        <v>1.10145</v>
      </c>
      <c r="J19" s="29"/>
      <c r="K19" s="2" t="s">
        <v>1</v>
      </c>
    </row>
    <row r="20" spans="1:11" s="1" customFormat="1" ht="44.25" x14ac:dyDescent="0.55000000000000004">
      <c r="A20" s="18">
        <v>5</v>
      </c>
      <c r="B20" s="97" t="s">
        <v>52</v>
      </c>
      <c r="C20" s="97"/>
      <c r="D20" s="97"/>
      <c r="E20" s="26">
        <f>E18*E19</f>
        <v>246.39339423050842</v>
      </c>
      <c r="F20" s="26">
        <f t="shared" ref="F20:I20" si="2">F18*F19</f>
        <v>2892.499095692554</v>
      </c>
      <c r="G20" s="26">
        <f t="shared" si="2"/>
        <v>98.204120892853155</v>
      </c>
      <c r="H20" s="26">
        <f t="shared" si="2"/>
        <v>23.717835773509059</v>
      </c>
      <c r="I20" s="26">
        <f t="shared" si="2"/>
        <v>108.0779414628186</v>
      </c>
      <c r="J20" s="29">
        <f>SUM(E20:I20)</f>
        <v>3368.8923880522434</v>
      </c>
      <c r="K20" s="2" t="s">
        <v>1</v>
      </c>
    </row>
    <row r="21" spans="1:11" x14ac:dyDescent="0.25">
      <c r="A21" s="20"/>
      <c r="B21" s="119" t="s">
        <v>48</v>
      </c>
      <c r="C21" s="119"/>
      <c r="D21" s="119"/>
      <c r="E21" s="26">
        <f>E20*1.2</f>
        <v>295.6720730766101</v>
      </c>
      <c r="F21" s="26">
        <f t="shared" ref="F21:I21" si="3">F20*1.2</f>
        <v>3470.9989148310647</v>
      </c>
      <c r="G21" s="26">
        <f t="shared" si="3"/>
        <v>117.84494507142378</v>
      </c>
      <c r="H21" s="26">
        <f t="shared" si="3"/>
        <v>28.46140292821087</v>
      </c>
      <c r="I21" s="26">
        <f t="shared" si="3"/>
        <v>129.69352975538231</v>
      </c>
      <c r="J21" s="29">
        <f>SUM(E21:I21)</f>
        <v>4042.6708656626915</v>
      </c>
    </row>
    <row r="22" spans="1:1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1" x14ac:dyDescent="0.25">
      <c r="C23" s="5" t="s">
        <v>7</v>
      </c>
      <c r="D23" s="6"/>
      <c r="F23" s="6" t="s">
        <v>9</v>
      </c>
    </row>
    <row r="26" spans="1:11" x14ac:dyDescent="0.25">
      <c r="C26" s="5" t="s">
        <v>8</v>
      </c>
      <c r="D26" s="6"/>
    </row>
    <row r="28" spans="1:11" x14ac:dyDescent="0.25">
      <c r="C28" s="7" t="s">
        <v>43</v>
      </c>
      <c r="D28" s="9"/>
      <c r="F28" s="9"/>
    </row>
  </sheetData>
  <mergeCells count="27">
    <mergeCell ref="A7:J7"/>
    <mergeCell ref="I1:J1"/>
    <mergeCell ref="H2:J2"/>
    <mergeCell ref="I4:J4"/>
    <mergeCell ref="A6:J6"/>
    <mergeCell ref="A8:J8"/>
    <mergeCell ref="A10:A13"/>
    <mergeCell ref="B10:D13"/>
    <mergeCell ref="E10:E13"/>
    <mergeCell ref="F10:F13"/>
    <mergeCell ref="G10:G13"/>
    <mergeCell ref="H10:H13"/>
    <mergeCell ref="I10:I13"/>
    <mergeCell ref="J10:J13"/>
    <mergeCell ref="B20:D20"/>
    <mergeCell ref="B21:D21"/>
    <mergeCell ref="A14:A16"/>
    <mergeCell ref="F14:F16"/>
    <mergeCell ref="G14:G16"/>
    <mergeCell ref="E14:E16"/>
    <mergeCell ref="B14:D16"/>
    <mergeCell ref="J14:J16"/>
    <mergeCell ref="I14:I16"/>
    <mergeCell ref="B17:D17"/>
    <mergeCell ref="B18:D18"/>
    <mergeCell ref="B19:D19"/>
    <mergeCell ref="H14:H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НМЦ лота "под ключ"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Сверчкова Оксана Григорьевна</cp:lastModifiedBy>
  <dcterms:created xsi:type="dcterms:W3CDTF">2018-11-01T13:51:15Z</dcterms:created>
  <dcterms:modified xsi:type="dcterms:W3CDTF">2019-04-15T05:46:21Z</dcterms:modified>
</cp:coreProperties>
</file>